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88" windowWidth="8748" windowHeight="8688" activeTab="1"/>
  </bookViews>
  <sheets>
    <sheet name="Introduction" sheetId="1" r:id="rId1"/>
    <sheet name="Pricing Corn Silage" sheetId="2" r:id="rId2"/>
    <sheet name="Sheet1" sheetId="3" r:id="rId3"/>
  </sheets>
  <definedNames>
    <definedName name="_xlnm.Print_Area" localSheetId="1">'Pricing Corn Silage'!$A$1:$F$83</definedName>
  </definedNames>
  <calcPr fullCalcOnLoad="1"/>
</workbook>
</file>

<file path=xl/sharedStrings.xml><?xml version="1.0" encoding="utf-8"?>
<sst xmlns="http://schemas.openxmlformats.org/spreadsheetml/2006/main" count="136" uniqueCount="130">
  <si>
    <t>Fertilizer Value of Harvested Stover</t>
  </si>
  <si>
    <t>Buyer</t>
  </si>
  <si>
    <t>Seller</t>
  </si>
  <si>
    <t>Silage Base Price Estimate (per ton DM)</t>
  </si>
  <si>
    <t>Gross Value of Corn Crop/Acre</t>
  </si>
  <si>
    <t xml:space="preserve">     $/Bushel</t>
  </si>
  <si>
    <t>Combining Cost/Acre</t>
  </si>
  <si>
    <t xml:space="preserve">     Storage Length (months)</t>
  </si>
  <si>
    <t xml:space="preserve">     $/Bushel/month</t>
  </si>
  <si>
    <t xml:space="preserve">     % Loss</t>
  </si>
  <si>
    <t>Total Harvest Costs/Acre</t>
  </si>
  <si>
    <t xml:space="preserve">     Pounds P205/Ton Dry Matter (from publication A2809)</t>
  </si>
  <si>
    <t xml:space="preserve">     Pounds K20/Ton Dry Matter (from publication A2809)</t>
  </si>
  <si>
    <t xml:space="preserve">Corn Silage Pricing Decision Aid </t>
  </si>
  <si>
    <t>c</t>
  </si>
  <si>
    <t>b</t>
  </si>
  <si>
    <t>a</t>
  </si>
  <si>
    <t>Tons DM</t>
  </si>
  <si>
    <t>Tons As Fed</t>
  </si>
  <si>
    <t>% DM</t>
  </si>
  <si>
    <t xml:space="preserve">     % Starch (DM basis)</t>
  </si>
  <si>
    <t xml:space="preserve">     Local Corn Price/Bushel</t>
  </si>
  <si>
    <t xml:space="preserve">     Milk Price/Cwt</t>
  </si>
  <si>
    <t>Price Perspective</t>
  </si>
  <si>
    <t>Phosphorus Value</t>
  </si>
  <si>
    <t>Potassium Value</t>
  </si>
  <si>
    <t>Quality Adjustment (per ton DM)</t>
  </si>
  <si>
    <t>Local Market Price for No.2 Corn at 15.5% moisture as Buyer or Seller</t>
  </si>
  <si>
    <t>Silage % DM</t>
  </si>
  <si>
    <t>Chopping $/Acre</t>
  </si>
  <si>
    <t>Hauling $/Acre</t>
  </si>
  <si>
    <t>Total Stover Value/Acre</t>
  </si>
  <si>
    <t>Concrete tower</t>
  </si>
  <si>
    <t>Type of Storage</t>
  </si>
  <si>
    <t>% loss</t>
  </si>
  <si>
    <t>Oxygen limiting tower</t>
  </si>
  <si>
    <t>Bunker</t>
  </si>
  <si>
    <t>Packed pile</t>
  </si>
  <si>
    <t>Bagged</t>
  </si>
  <si>
    <t xml:space="preserve">     Silage NDFD (48 Hour invitro) </t>
  </si>
  <si>
    <t>Tons (DM basis)</t>
  </si>
  <si>
    <t>Estimated stover yield based on grain yield</t>
  </si>
  <si>
    <t>Starch Adjustment/ton DM Silage</t>
  </si>
  <si>
    <t>If a lab analysis is not available keep this in mind:</t>
  </si>
  <si>
    <t xml:space="preserve">NDFD base value is 58% </t>
  </si>
  <si>
    <t>Starch base value is 29%</t>
  </si>
  <si>
    <r>
      <t xml:space="preserve">     Average grain loss for harvest before black layer (Bushels/Acre) </t>
    </r>
    <r>
      <rPr>
        <sz val="10"/>
        <color indexed="10"/>
        <rFont val="Arial"/>
        <family val="2"/>
      </rPr>
      <t>(b)</t>
    </r>
  </si>
  <si>
    <r>
      <t xml:space="preserve">Harvest and Storage Loss </t>
    </r>
    <r>
      <rPr>
        <sz val="10"/>
        <color indexed="10"/>
        <rFont val="Arial"/>
        <family val="2"/>
      </rPr>
      <t>(d)</t>
    </r>
  </si>
  <si>
    <r>
      <t xml:space="preserve">Silage Harvest Costs </t>
    </r>
    <r>
      <rPr>
        <b/>
        <sz val="11"/>
        <color indexed="10"/>
        <rFont val="Arial"/>
        <family val="2"/>
      </rPr>
      <t>(e)</t>
    </r>
  </si>
  <si>
    <r>
      <t xml:space="preserve">     Tons Stover DM/acre </t>
    </r>
    <r>
      <rPr>
        <sz val="10"/>
        <color indexed="17"/>
        <rFont val="Arial"/>
        <family val="2"/>
      </rPr>
      <t>(See estimate to right)</t>
    </r>
  </si>
  <si>
    <t xml:space="preserve">The spreadsheet develops a price from the seller’s (minimum to accept) and buyer’s (maximum to pay) perspectives.  </t>
  </si>
  <si>
    <t xml:space="preserve">This would represent the same returns to the seller if the seller harvested the corn for grain. </t>
  </si>
  <si>
    <t>The price is adjusted for the value of the phosphorus and potassium harvested in the stover.</t>
  </si>
  <si>
    <t xml:space="preserve">The seller will look at it from the standpoint of what is the value of the standing corn minus grain harvest costs. </t>
  </si>
  <si>
    <t xml:space="preserve">This spreadsheet adjusts the value of corn silage for quality based on what it would cost to purchase corn and straw to replace the nutritional value of corn silage. </t>
  </si>
  <si>
    <t>This would represent the maximum price the buyer would be willing to pay.</t>
  </si>
  <si>
    <t xml:space="preserve">The buyer will be looking at the price of standing corn in terms of quality and harvesting costs. </t>
  </si>
  <si>
    <t xml:space="preserve">Buyers and sellers need to consider local market conditions that would influence the final negotiated price. </t>
  </si>
  <si>
    <t xml:space="preserve">If the seller minimum is greater than the buyer maximum, it would be more economical to harvest the crop as grain versus silage. </t>
  </si>
  <si>
    <t xml:space="preserve">Because prices are likely to differ for buyer and seller, this spreadsheet is best suited to give a price range to start negotiations.  </t>
  </si>
  <si>
    <t>Developed By</t>
  </si>
  <si>
    <t>Please Enter Your Input Values into the Shaded Cells</t>
  </si>
  <si>
    <t>Dr. Joe Lauer: University of Wisconsin Corn Agronomist</t>
  </si>
  <si>
    <t>Ryan Sterry: UW-Extension Ag Agent - Polk County</t>
  </si>
  <si>
    <t>Lee Milligan: UW-Extension Ag Agent - St. Croix County</t>
  </si>
  <si>
    <t>for your input in the development of this program</t>
  </si>
  <si>
    <r>
      <t xml:space="preserve">b)  </t>
    </r>
    <r>
      <rPr>
        <b/>
        <sz val="10"/>
        <color indexed="8"/>
        <rFont val="Arial"/>
        <family val="2"/>
      </rPr>
      <t xml:space="preserve">On average there is a 9% grain yield reduction for harvest before black layer.  </t>
    </r>
  </si>
  <si>
    <t xml:space="preserve">           Serves to estimate value of stover to buyer in corn silage.</t>
  </si>
  <si>
    <r>
      <t xml:space="preserve">Grain Harvest Costs  </t>
    </r>
    <r>
      <rPr>
        <b/>
        <sz val="11"/>
        <color indexed="10"/>
        <rFont val="Arial"/>
        <family val="2"/>
      </rPr>
      <t>(c)</t>
    </r>
  </si>
  <si>
    <r>
      <t>c)</t>
    </r>
    <r>
      <rPr>
        <b/>
        <sz val="10"/>
        <rFont val="Arial"/>
        <family val="2"/>
      </rPr>
      <t xml:space="preserve">  Average Grain Harvest Costs</t>
    </r>
  </si>
  <si>
    <t>Trucking</t>
  </si>
  <si>
    <t>Drying</t>
  </si>
  <si>
    <t>Storge (per month)</t>
  </si>
  <si>
    <t>$ per Bu.</t>
  </si>
  <si>
    <t>Expense</t>
  </si>
  <si>
    <t>0.15 - 0.20</t>
  </si>
  <si>
    <t>0.10 - 0.14</t>
  </si>
  <si>
    <t>0.02 - 0.03</t>
  </si>
  <si>
    <r>
      <t xml:space="preserve">d)  </t>
    </r>
    <r>
      <rPr>
        <b/>
        <sz val="10"/>
        <color indexed="8"/>
        <rFont val="Arial"/>
        <family val="2"/>
      </rPr>
      <t>Average is 2 - 3%</t>
    </r>
  </si>
  <si>
    <t xml:space="preserve">Trucking Cost/Acre </t>
  </si>
  <si>
    <t>Drying Cost/Acre</t>
  </si>
  <si>
    <t xml:space="preserve">Storage Cost/Acre  </t>
  </si>
  <si>
    <t>Use actual costs when possible, or refer to guidlines</t>
  </si>
  <si>
    <r>
      <t xml:space="preserve">Quality Adjustments for Silage </t>
    </r>
    <r>
      <rPr>
        <b/>
        <sz val="11"/>
        <color indexed="10"/>
        <rFont val="Arial"/>
        <family val="2"/>
      </rPr>
      <t>(g)</t>
    </r>
  </si>
  <si>
    <r>
      <t>g)</t>
    </r>
    <r>
      <rPr>
        <b/>
        <sz val="10"/>
        <rFont val="Arial"/>
        <family val="2"/>
      </rPr>
      <t xml:space="preserve">  Quality adjustments should be based on laboratory analysis when available</t>
    </r>
  </si>
  <si>
    <t xml:space="preserve">Thank you Dr. Randy Shaver and Dr. Jim Linn </t>
  </si>
  <si>
    <t>Guidelines</t>
  </si>
  <si>
    <t>Red letters refer to explanations or guidelines at bottom.</t>
  </si>
  <si>
    <t>NDF Digestibility Adjustment/ton DM Silage</t>
  </si>
  <si>
    <r>
      <t>a)</t>
    </r>
    <r>
      <rPr>
        <b/>
        <sz val="10"/>
        <color indexed="8"/>
        <rFont val="Arial"/>
        <family val="2"/>
      </rPr>
      <t xml:space="preserve">  Straw Price: Use current market price for high quality (feed) straw.  </t>
    </r>
  </si>
  <si>
    <r>
      <t>f)</t>
    </r>
    <r>
      <rPr>
        <b/>
        <sz val="10"/>
        <rFont val="Arial"/>
        <family val="2"/>
      </rPr>
      <t xml:space="preserve">  Typical Harvest and Storage Losses Based on Storage Type</t>
    </r>
  </si>
  <si>
    <r>
      <t>e)</t>
    </r>
    <r>
      <rPr>
        <b/>
        <sz val="10"/>
        <rFont val="Arial"/>
        <family val="2"/>
      </rPr>
      <t xml:space="preserve">  </t>
    </r>
    <r>
      <rPr>
        <b/>
        <sz val="10"/>
        <color indexed="8"/>
        <rFont val="Arial"/>
        <family val="2"/>
      </rPr>
      <t>Use your own costs or current averages from the Wisconsin Cu</t>
    </r>
    <r>
      <rPr>
        <b/>
        <sz val="10"/>
        <rFont val="Arial"/>
        <family val="2"/>
      </rPr>
      <t>stom Rate Guide</t>
    </r>
  </si>
  <si>
    <t xml:space="preserve">Use your own costs or the following guidelines. </t>
  </si>
  <si>
    <t xml:space="preserve">     Price per lb K20</t>
  </si>
  <si>
    <t xml:space="preserve">     Price per lb P205</t>
  </si>
  <si>
    <r>
      <t xml:space="preserve">Local Market Price per ton for poor quality/low protein forage to Buyer </t>
    </r>
    <r>
      <rPr>
        <sz val="10"/>
        <color indexed="10"/>
        <rFont val="Arial"/>
        <family val="2"/>
      </rPr>
      <t>(a)</t>
    </r>
  </si>
  <si>
    <t xml:space="preserve">Corn Silage/Tons Acre (Wet Basis)  </t>
  </si>
  <si>
    <t>Yield Information</t>
  </si>
  <si>
    <t>Estimated</t>
  </si>
  <si>
    <t>Actual</t>
  </si>
  <si>
    <t>*To use estimated yield actual column must be BLANK!</t>
  </si>
  <si>
    <t>Grain Yield Bushels/Acre</t>
  </si>
  <si>
    <r>
      <t xml:space="preserve">Harvest and Storage Loss </t>
    </r>
    <r>
      <rPr>
        <sz val="10"/>
        <color indexed="10"/>
        <rFont val="Arial"/>
        <family val="2"/>
      </rPr>
      <t xml:space="preserve">(f)                    </t>
    </r>
    <r>
      <rPr>
        <b/>
        <sz val="10"/>
        <color indexed="8"/>
        <rFont val="Arial"/>
        <family val="2"/>
      </rPr>
      <t>Estimated</t>
    </r>
  </si>
  <si>
    <t>Actual (if known)</t>
  </si>
  <si>
    <t xml:space="preserve">Value of Standing Corn/Ton of Silage W/O Quality Adjustment (Wet Basis) </t>
  </si>
  <si>
    <t xml:space="preserve">Value of Standing Corn/Ton of Silage W/O Quality Adjustment (DryMatter Basis) </t>
  </si>
  <si>
    <t xml:space="preserve">Value of Standing Corn/Ton of Silage With Quality Adjustment (Wet Basis) </t>
  </si>
  <si>
    <t xml:space="preserve">Value of Standing Corn/Ton of Silage With Quality Adjustment (DryMatter Basis) </t>
  </si>
  <si>
    <t xml:space="preserve">     (Gross Value of Crop - Grain Harvest Expenses)</t>
  </si>
  <si>
    <t>Silage Harvest Costs/Acre</t>
  </si>
  <si>
    <t xml:space="preserve">     and Fertilizer Value of Harvested Stover </t>
  </si>
  <si>
    <t xml:space="preserve">     and Fertilizer Value of Harvested Stover (Minimum Value to Accept)</t>
  </si>
  <si>
    <t xml:space="preserve">This spreadsheet is intended to provide a framework for negotiating the price of standing corn silage. </t>
  </si>
  <si>
    <t>August 2007 (Updated November 2009)</t>
  </si>
  <si>
    <t>Prices are presented in three forms: standing corn silage, harvested corn silage, and adjusted value based on quality.</t>
  </si>
  <si>
    <r>
      <t xml:space="preserve">Value/Acre of Corn Silage to </t>
    </r>
    <r>
      <rPr>
        <b/>
        <sz val="10"/>
        <rFont val="Arial"/>
        <family val="2"/>
      </rPr>
      <t>Seller</t>
    </r>
    <r>
      <rPr>
        <sz val="10"/>
        <rFont val="Arial"/>
        <family val="0"/>
      </rPr>
      <t xml:space="preserve"> Adjusted for Grain Harvest Cost  </t>
    </r>
  </si>
  <si>
    <r>
      <t xml:space="preserve">Value/Wet Ton of Corn Silage to </t>
    </r>
    <r>
      <rPr>
        <b/>
        <sz val="10"/>
        <rFont val="Arial"/>
        <family val="2"/>
      </rPr>
      <t>Seller</t>
    </r>
    <r>
      <rPr>
        <sz val="10"/>
        <rFont val="Arial"/>
        <family val="0"/>
      </rPr>
      <t xml:space="preserve"> Adjusted for Grain Harvest Cost </t>
    </r>
  </si>
  <si>
    <r>
      <t xml:space="preserve">Value/Acre of Corn Silage to </t>
    </r>
    <r>
      <rPr>
        <b/>
        <sz val="10"/>
        <rFont val="Arial"/>
        <family val="2"/>
      </rPr>
      <t>Seller</t>
    </r>
    <r>
      <rPr>
        <sz val="10"/>
        <rFont val="Arial"/>
        <family val="0"/>
      </rPr>
      <t xml:space="preserve"> Adjusted for Grain Harvest Costs </t>
    </r>
  </si>
  <si>
    <r>
      <t xml:space="preserve">Value/Wet Ton of Corn Silage to </t>
    </r>
    <r>
      <rPr>
        <b/>
        <sz val="10"/>
        <rFont val="Arial"/>
        <family val="2"/>
      </rPr>
      <t xml:space="preserve">Seller </t>
    </r>
    <r>
      <rPr>
        <sz val="10"/>
        <rFont val="Arial"/>
        <family val="0"/>
      </rPr>
      <t xml:space="preserve">Adjusted for Grain Harvest Costs </t>
    </r>
  </si>
  <si>
    <r>
      <t xml:space="preserve">Value/Acre Corn Silage to </t>
    </r>
    <r>
      <rPr>
        <b/>
        <sz val="10"/>
        <rFont val="Arial"/>
        <family val="2"/>
      </rPr>
      <t>Buyer</t>
    </r>
    <r>
      <rPr>
        <sz val="10"/>
        <rFont val="Arial"/>
        <family val="0"/>
      </rPr>
      <t xml:space="preserve"> Minus Silage Harvest Costs </t>
    </r>
  </si>
  <si>
    <r>
      <t xml:space="preserve">     </t>
    </r>
    <r>
      <rPr>
        <sz val="10"/>
        <color indexed="8"/>
        <rFont val="Arial"/>
        <family val="2"/>
      </rPr>
      <t xml:space="preserve">Buyer Pays For (unchecked means seller assumes cost):      </t>
    </r>
  </si>
  <si>
    <t xml:space="preserve">     Please indicate below which costs are the responsibility of the buyer.  Silage harvest costs can be changed in lines 35-38.</t>
  </si>
  <si>
    <r>
      <t>Harvest and Storage Loss</t>
    </r>
    <r>
      <rPr>
        <sz val="10"/>
        <color indexed="10"/>
        <rFont val="Arial"/>
        <family val="2"/>
      </rPr>
      <t xml:space="preserve">                  </t>
    </r>
  </si>
  <si>
    <t>Gross Value of Corn Crop/Wet Ton</t>
  </si>
  <si>
    <t>Gross Value of Corn Crop/Dry Ton</t>
  </si>
  <si>
    <t>Value of Corn Silage /Ton with All Adjustments (Wet Basis)</t>
  </si>
  <si>
    <t>Value of Corn Silage/Ton with All Adjustments (Dry Matter)</t>
  </si>
  <si>
    <t>Harvesting &amp; Storage Costs of Buyer &amp; Seller/Ton of Silage (Dry Matter)</t>
  </si>
  <si>
    <t xml:space="preserve">Value of Corn Silage Based on Harvest and Storage  </t>
  </si>
  <si>
    <t>Cost Responsibility Between Seller and Buyer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</si>
</sst>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[$-409]dddd\,\ mmmm\ dd\,\ yyyy"/>
    <numFmt numFmtId="167" formatCode="0.000"/>
    <numFmt numFmtId="168" formatCode=";;;"/>
    <numFmt numFmtId="169" formatCode="0.0"/>
    <numFmt numFmtId="170" formatCode="#,##0.000"/>
    <numFmt numFmtId="171" formatCode="#,##0.0000"/>
    <numFmt numFmtId="172" formatCode="_(* #,##0_);_(* \(#,##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%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color indexed="62"/>
      <name val="Arial"/>
      <family val="2"/>
    </font>
    <font>
      <b/>
      <sz val="10"/>
      <color indexed="1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58"/>
      <name val="Arial"/>
      <family val="2"/>
    </font>
    <font>
      <sz val="12"/>
      <name val="Arial Narrow"/>
      <family val="2"/>
    </font>
    <font>
      <b/>
      <sz val="12"/>
      <color indexed="16"/>
      <name val="Arial"/>
      <family val="2"/>
    </font>
    <font>
      <b/>
      <sz val="16"/>
      <name val="Arial"/>
      <family val="2"/>
    </font>
    <font>
      <b/>
      <sz val="12"/>
      <color indexed="18"/>
      <name val="Arial"/>
      <family val="2"/>
    </font>
    <font>
      <sz val="14"/>
      <name val="Arial Narrow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59"/>
      <name val="Arial"/>
      <family val="2"/>
    </font>
    <font>
      <b/>
      <sz val="10"/>
      <color indexed="10"/>
      <name val="Arial Rounded MT Bold"/>
      <family val="2"/>
    </font>
    <font>
      <sz val="8"/>
      <name val="Tahoma"/>
      <family val="2"/>
    </font>
    <font>
      <u val="single"/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33" borderId="0" xfId="0" applyFill="1" applyAlignment="1" applyProtection="1">
      <alignment/>
      <protection locked="0"/>
    </xf>
    <xf numFmtId="9" fontId="0" fillId="33" borderId="0" xfId="0" applyNumberFormat="1" applyFill="1" applyAlignment="1" applyProtection="1">
      <alignment/>
      <protection locked="0"/>
    </xf>
    <xf numFmtId="164" fontId="0" fillId="33" borderId="0" xfId="0" applyNumberFormat="1" applyFill="1" applyAlignment="1" applyProtection="1">
      <alignment/>
      <protection locked="0"/>
    </xf>
    <xf numFmtId="10" fontId="0" fillId="33" borderId="0" xfId="0" applyNumberFormat="1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165" fontId="0" fillId="33" borderId="0" xfId="0" applyNumberFormat="1" applyFill="1" applyAlignment="1" applyProtection="1">
      <alignment/>
      <protection locked="0"/>
    </xf>
    <xf numFmtId="0" fontId="0" fillId="34" borderId="0" xfId="0" applyFill="1" applyAlignment="1" applyProtection="1">
      <alignment/>
      <protection hidden="1"/>
    </xf>
    <xf numFmtId="164" fontId="0" fillId="34" borderId="0" xfId="0" applyNumberForma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0" fontId="0" fillId="34" borderId="0" xfId="0" applyNumberFormat="1" applyFill="1" applyAlignment="1" applyProtection="1">
      <alignment/>
      <protection hidden="1"/>
    </xf>
    <xf numFmtId="0" fontId="22" fillId="34" borderId="10" xfId="0" applyFont="1" applyFill="1" applyBorder="1" applyAlignment="1" applyProtection="1">
      <alignment horizontal="left"/>
      <protection/>
    </xf>
    <xf numFmtId="0" fontId="0" fillId="34" borderId="11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24" fillId="34" borderId="14" xfId="0" applyFont="1" applyFill="1" applyBorder="1" applyAlignment="1" applyProtection="1">
      <alignment horizontal="left"/>
      <protection/>
    </xf>
    <xf numFmtId="0" fontId="23" fillId="34" borderId="15" xfId="0" applyFont="1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 horizontal="center"/>
      <protection/>
    </xf>
    <xf numFmtId="0" fontId="11" fillId="34" borderId="0" xfId="0" applyFont="1" applyFill="1" applyAlignment="1" applyProtection="1">
      <alignment/>
      <protection/>
    </xf>
    <xf numFmtId="9" fontId="0" fillId="34" borderId="0" xfId="0" applyNumberFormat="1" applyFill="1" applyAlignment="1" applyProtection="1">
      <alignment/>
      <protection/>
    </xf>
    <xf numFmtId="2" fontId="0" fillId="34" borderId="0" xfId="0" applyNumberForma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2" fontId="3" fillId="34" borderId="0" xfId="0" applyNumberFormat="1" applyFont="1" applyFill="1" applyAlignment="1" applyProtection="1">
      <alignment/>
      <protection/>
    </xf>
    <xf numFmtId="165" fontId="0" fillId="34" borderId="0" xfId="0" applyNumberFormat="1" applyFill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64" fontId="9" fillId="34" borderId="0" xfId="0" applyNumberFormat="1" applyFont="1" applyFill="1" applyAlignment="1" applyProtection="1">
      <alignment/>
      <protection/>
    </xf>
    <xf numFmtId="0" fontId="10" fillId="34" borderId="0" xfId="0" applyFont="1" applyFill="1" applyAlignment="1" applyProtection="1">
      <alignment/>
      <protection/>
    </xf>
    <xf numFmtId="164" fontId="10" fillId="34" borderId="0" xfId="0" applyNumberFormat="1" applyFont="1" applyFill="1" applyAlignment="1" applyProtection="1">
      <alignment/>
      <protection/>
    </xf>
    <xf numFmtId="0" fontId="26" fillId="34" borderId="0" xfId="0" applyFont="1" applyFill="1" applyAlignment="1" applyProtection="1">
      <alignment/>
      <protection/>
    </xf>
    <xf numFmtId="0" fontId="25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16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27" fillId="34" borderId="0" xfId="0" applyFont="1" applyFill="1" applyAlignment="1" applyProtection="1">
      <alignment/>
      <protection/>
    </xf>
    <xf numFmtId="0" fontId="28" fillId="34" borderId="0" xfId="0" applyFont="1" applyFill="1" applyAlignment="1" applyProtection="1">
      <alignment/>
      <protection/>
    </xf>
    <xf numFmtId="164" fontId="27" fillId="34" borderId="0" xfId="0" applyNumberFormat="1" applyFont="1" applyFill="1" applyAlignment="1" applyProtection="1">
      <alignment/>
      <protection/>
    </xf>
    <xf numFmtId="0" fontId="29" fillId="34" borderId="0" xfId="0" applyFon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 locked="0"/>
    </xf>
    <xf numFmtId="0" fontId="30" fillId="34" borderId="14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 locked="0"/>
    </xf>
    <xf numFmtId="9" fontId="2" fillId="34" borderId="0" xfId="0" applyNumberFormat="1" applyFont="1" applyFill="1" applyAlignment="1" applyProtection="1">
      <alignment horizontal="center"/>
      <protection/>
    </xf>
    <xf numFmtId="9" fontId="0" fillId="33" borderId="0" xfId="0" applyNumberFormat="1" applyFill="1" applyBorder="1" applyAlignment="1" applyProtection="1">
      <alignment/>
      <protection locked="0"/>
    </xf>
    <xf numFmtId="9" fontId="0" fillId="34" borderId="0" xfId="0" applyNumberForma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31" fillId="34" borderId="0" xfId="0" applyFont="1" applyFill="1" applyBorder="1" applyAlignment="1" applyProtection="1">
      <alignment horizontal="left"/>
      <protection/>
    </xf>
    <xf numFmtId="2" fontId="0" fillId="33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/>
    </xf>
    <xf numFmtId="9" fontId="0" fillId="35" borderId="0" xfId="0" applyNumberFormat="1" applyFill="1" applyBorder="1" applyAlignment="1" applyProtection="1">
      <alignment/>
      <protection locked="0"/>
    </xf>
    <xf numFmtId="2" fontId="0" fillId="35" borderId="0" xfId="0" applyNumberFormat="1" applyFill="1" applyBorder="1" applyAlignment="1" applyProtection="1">
      <alignment/>
      <protection/>
    </xf>
    <xf numFmtId="2" fontId="0" fillId="35" borderId="0" xfId="0" applyNumberFormat="1" applyFill="1" applyBorder="1" applyAlignment="1" applyProtection="1">
      <alignment/>
      <protection locked="0"/>
    </xf>
    <xf numFmtId="2" fontId="0" fillId="33" borderId="0" xfId="0" applyNumberFormat="1" applyFill="1" applyAlignment="1" applyProtection="1">
      <alignment horizontal="center"/>
      <protection/>
    </xf>
    <xf numFmtId="2" fontId="7" fillId="0" borderId="0" xfId="0" applyNumberFormat="1" applyFont="1" applyFill="1" applyBorder="1" applyAlignment="1" applyProtection="1">
      <alignment/>
      <protection/>
    </xf>
    <xf numFmtId="49" fontId="20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20" fillId="35" borderId="18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49" fontId="2" fillId="35" borderId="14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35" borderId="13" xfId="0" applyFill="1" applyBorder="1" applyAlignment="1">
      <alignment/>
    </xf>
    <xf numFmtId="49" fontId="18" fillId="35" borderId="14" xfId="0" applyNumberFormat="1" applyFont="1" applyFill="1" applyBorder="1" applyAlignment="1">
      <alignment horizontal="center"/>
    </xf>
    <xf numFmtId="49" fontId="20" fillId="35" borderId="14" xfId="0" applyNumberFormat="1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21" fillId="35" borderId="0" xfId="0" applyFont="1" applyFill="1" applyAlignment="1">
      <alignment/>
    </xf>
    <xf numFmtId="0" fontId="7" fillId="35" borderId="0" xfId="0" applyFont="1" applyFill="1" applyBorder="1" applyAlignment="1">
      <alignment/>
    </xf>
    <xf numFmtId="0" fontId="17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0" fillId="35" borderId="0" xfId="0" applyFill="1" applyAlignment="1" applyProtection="1">
      <alignment/>
      <protection locked="0"/>
    </xf>
    <xf numFmtId="9" fontId="0" fillId="35" borderId="0" xfId="0" applyNumberFormat="1" applyFill="1" applyAlignment="1" applyProtection="1">
      <alignment/>
      <protection locked="0"/>
    </xf>
    <xf numFmtId="2" fontId="0" fillId="35" borderId="0" xfId="0" applyNumberFormat="1" applyFill="1" applyAlignment="1">
      <alignment/>
    </xf>
    <xf numFmtId="44" fontId="0" fillId="34" borderId="0" xfId="44" applyFont="1" applyFill="1" applyAlignment="1" applyProtection="1">
      <alignment/>
      <protection/>
    </xf>
    <xf numFmtId="0" fontId="8" fillId="34" borderId="0" xfId="0" applyFont="1" applyFill="1" applyAlignment="1" applyProtection="1">
      <alignment/>
      <protection hidden="1"/>
    </xf>
    <xf numFmtId="0" fontId="33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34" fillId="34" borderId="0" xfId="0" applyFont="1" applyFill="1" applyAlignment="1" applyProtection="1">
      <alignment/>
      <protection/>
    </xf>
    <xf numFmtId="0" fontId="35" fillId="34" borderId="0" xfId="0" applyFont="1" applyFill="1" applyAlignment="1" applyProtection="1">
      <alignment/>
      <protection/>
    </xf>
    <xf numFmtId="164" fontId="35" fillId="34" borderId="0" xfId="0" applyNumberFormat="1" applyFont="1" applyFill="1" applyAlignment="1" applyProtection="1">
      <alignment/>
      <protection/>
    </xf>
    <xf numFmtId="0" fontId="0" fillId="0" borderId="19" xfId="0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10" fontId="0" fillId="0" borderId="19" xfId="0" applyNumberFormat="1" applyFill="1" applyBorder="1" applyAlignment="1" applyProtection="1">
      <alignment/>
      <protection locked="0"/>
    </xf>
    <xf numFmtId="0" fontId="36" fillId="34" borderId="0" xfId="0" applyFont="1" applyFill="1" applyAlignment="1" applyProtection="1">
      <alignment/>
      <protection/>
    </xf>
    <xf numFmtId="44" fontId="0" fillId="35" borderId="0" xfId="44" applyFont="1" applyFill="1" applyAlignment="1" applyProtection="1">
      <alignment/>
      <protection locked="0"/>
    </xf>
    <xf numFmtId="164" fontId="36" fillId="33" borderId="0" xfId="0" applyNumberFormat="1" applyFont="1" applyFill="1" applyAlignment="1" applyProtection="1">
      <alignment/>
      <protection/>
    </xf>
    <xf numFmtId="164" fontId="10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35" borderId="0" xfId="0" applyNumberFormat="1" applyFill="1" applyBorder="1" applyAlignment="1" applyProtection="1">
      <alignment/>
      <protection/>
    </xf>
    <xf numFmtId="164" fontId="0" fillId="35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133350</xdr:rowOff>
    </xdr:from>
    <xdr:to>
      <xdr:col>3</xdr:col>
      <xdr:colOff>1724025</xdr:colOff>
      <xdr:row>5</xdr:row>
      <xdr:rowOff>47625</xdr:rowOff>
    </xdr:to>
    <xdr:pic>
      <xdr:nvPicPr>
        <xdr:cNvPr id="1" name="Picture 1" descr="logota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33350"/>
          <a:ext cx="2438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421875" style="61" customWidth="1"/>
    <col min="2" max="2" width="9.140625" style="61" customWidth="1"/>
    <col min="3" max="3" width="6.8515625" style="61" customWidth="1"/>
    <col min="4" max="4" width="26.421875" style="61" customWidth="1"/>
    <col min="5" max="16384" width="9.140625" style="61" customWidth="1"/>
  </cols>
  <sheetData>
    <row r="1" spans="1:4" ht="20.25" customHeight="1">
      <c r="A1" s="64" t="s">
        <v>13</v>
      </c>
      <c r="B1" s="65"/>
      <c r="C1" s="65"/>
      <c r="D1" s="66"/>
    </row>
    <row r="2" spans="1:4" ht="12.75">
      <c r="A2" s="67" t="s">
        <v>113</v>
      </c>
      <c r="B2" s="68"/>
      <c r="C2" s="68"/>
      <c r="D2" s="69"/>
    </row>
    <row r="3" spans="1:4" ht="12.75">
      <c r="A3" s="67"/>
      <c r="B3" s="68"/>
      <c r="C3" s="68"/>
      <c r="D3" s="69"/>
    </row>
    <row r="4" spans="1:4" ht="15.75">
      <c r="A4" s="70" t="s">
        <v>60</v>
      </c>
      <c r="B4" s="68"/>
      <c r="C4" s="68"/>
      <c r="D4" s="69"/>
    </row>
    <row r="5" spans="1:4" ht="15.75">
      <c r="A5" s="71" t="s">
        <v>63</v>
      </c>
      <c r="B5" s="68"/>
      <c r="C5" s="68"/>
      <c r="D5" s="69"/>
    </row>
    <row r="6" spans="1:4" ht="15.75">
      <c r="A6" s="71" t="s">
        <v>64</v>
      </c>
      <c r="B6" s="68"/>
      <c r="C6" s="68"/>
      <c r="D6" s="69"/>
    </row>
    <row r="7" spans="1:4" ht="15">
      <c r="A7" s="60" t="s">
        <v>62</v>
      </c>
      <c r="B7" s="68"/>
      <c r="C7" s="68"/>
      <c r="D7" s="69"/>
    </row>
    <row r="8" spans="1:4" ht="15">
      <c r="A8" s="60"/>
      <c r="B8" s="68"/>
      <c r="C8" s="68"/>
      <c r="D8" s="69"/>
    </row>
    <row r="9" spans="1:6" ht="15">
      <c r="A9" s="60" t="s">
        <v>85</v>
      </c>
      <c r="B9" s="68"/>
      <c r="C9" s="68"/>
      <c r="D9" s="69"/>
      <c r="F9" s="68"/>
    </row>
    <row r="10" spans="1:6" ht="15">
      <c r="A10" s="62" t="s">
        <v>65</v>
      </c>
      <c r="B10" s="72"/>
      <c r="C10" s="72"/>
      <c r="D10" s="73"/>
      <c r="F10" s="68"/>
    </row>
    <row r="11" spans="1:6" ht="12.75">
      <c r="A11" s="63"/>
      <c r="B11" s="68"/>
      <c r="C11" s="68"/>
      <c r="D11" s="68"/>
      <c r="F11" s="68"/>
    </row>
    <row r="12" spans="1:6" ht="18">
      <c r="A12" s="74" t="s">
        <v>112</v>
      </c>
      <c r="B12" s="68"/>
      <c r="C12" s="68"/>
      <c r="D12" s="68"/>
      <c r="F12" s="68"/>
    </row>
    <row r="13" spans="1:6" ht="18">
      <c r="A13" s="74" t="s">
        <v>50</v>
      </c>
      <c r="B13" s="68"/>
      <c r="C13" s="68"/>
      <c r="D13" s="68"/>
      <c r="F13" s="68"/>
    </row>
    <row r="14" spans="1:6" ht="18">
      <c r="A14" s="74" t="s">
        <v>114</v>
      </c>
      <c r="B14" s="68"/>
      <c r="C14" s="68"/>
      <c r="D14" s="68"/>
      <c r="F14" s="68"/>
    </row>
    <row r="15" spans="1:6" ht="18">
      <c r="A15" s="74"/>
      <c r="B15" s="68"/>
      <c r="C15" s="68"/>
      <c r="D15" s="68"/>
      <c r="F15" s="68"/>
    </row>
    <row r="16" spans="1:4" ht="18">
      <c r="A16" s="74" t="s">
        <v>53</v>
      </c>
      <c r="B16" s="75"/>
      <c r="C16" s="68"/>
      <c r="D16" s="68"/>
    </row>
    <row r="17" spans="1:4" ht="18">
      <c r="A17" s="74" t="s">
        <v>51</v>
      </c>
      <c r="B17" s="75"/>
      <c r="C17" s="68"/>
      <c r="D17" s="68"/>
    </row>
    <row r="18" spans="1:4" ht="18">
      <c r="A18" s="74" t="s">
        <v>52</v>
      </c>
      <c r="B18" s="75"/>
      <c r="C18" s="68"/>
      <c r="D18" s="68"/>
    </row>
    <row r="19" spans="1:4" ht="18">
      <c r="A19" s="74"/>
      <c r="B19" s="75"/>
      <c r="C19" s="68"/>
      <c r="D19" s="68"/>
    </row>
    <row r="20" spans="1:4" ht="18">
      <c r="A20" s="74" t="s">
        <v>56</v>
      </c>
      <c r="B20" s="75"/>
      <c r="C20" s="68"/>
      <c r="D20" s="68"/>
    </row>
    <row r="21" spans="1:4" ht="18">
      <c r="A21" s="74" t="s">
        <v>54</v>
      </c>
      <c r="B21" s="75"/>
      <c r="C21" s="68"/>
      <c r="D21" s="68"/>
    </row>
    <row r="22" spans="1:4" ht="18">
      <c r="A22" s="74" t="s">
        <v>55</v>
      </c>
      <c r="B22" s="75"/>
      <c r="C22" s="68"/>
      <c r="D22" s="68"/>
    </row>
    <row r="23" spans="1:4" ht="18">
      <c r="A23" s="74"/>
      <c r="B23" s="75"/>
      <c r="C23" s="68"/>
      <c r="D23" s="68"/>
    </row>
    <row r="24" spans="1:3" ht="18">
      <c r="A24" s="74" t="s">
        <v>59</v>
      </c>
      <c r="B24" s="68"/>
      <c r="C24" s="68"/>
    </row>
    <row r="25" spans="1:3" ht="18">
      <c r="A25" s="74" t="s">
        <v>57</v>
      </c>
      <c r="B25" s="68"/>
      <c r="C25" s="68"/>
    </row>
    <row r="26" spans="1:3" ht="18">
      <c r="A26" s="74" t="s">
        <v>58</v>
      </c>
      <c r="B26" s="68"/>
      <c r="C26" s="68"/>
    </row>
    <row r="27" spans="1:5" ht="15">
      <c r="A27" s="76"/>
      <c r="B27" s="68"/>
      <c r="C27" s="68"/>
      <c r="E27" s="77"/>
    </row>
    <row r="28" spans="1:5" ht="13.5">
      <c r="A28" s="78"/>
      <c r="C28" s="77"/>
      <c r="D28" s="77"/>
      <c r="E28" s="79"/>
    </row>
    <row r="29" spans="4:5" ht="12.75">
      <c r="D29" s="79"/>
      <c r="E29" s="80"/>
    </row>
    <row r="30" spans="3:5" ht="12.75">
      <c r="C30" s="80"/>
      <c r="D30" s="80"/>
      <c r="E30" s="81"/>
    </row>
  </sheetData>
  <sheetProtection password="861A" sheet="1" objects="1" scenarios="1" formatColumns="0" formatRows="0" sort="0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tabSelected="1" zoomScalePageLayoutView="0" workbookViewId="0" topLeftCell="A73">
      <selection activeCell="I58" sqref="I58"/>
    </sheetView>
  </sheetViews>
  <sheetFormatPr defaultColWidth="9.140625" defaultRowHeight="12.75"/>
  <cols>
    <col min="1" max="1" width="51.28125" style="10" customWidth="1"/>
    <col min="2" max="2" width="11.57421875" style="10" customWidth="1"/>
    <col min="3" max="3" width="10.57421875" style="10" customWidth="1"/>
    <col min="4" max="5" width="9.28125" style="10" bestFit="1" customWidth="1"/>
    <col min="6" max="7" width="9.140625" style="10" customWidth="1"/>
    <col min="8" max="8" width="10.28125" style="10" customWidth="1"/>
    <col min="9" max="16384" width="9.140625" style="10" customWidth="1"/>
  </cols>
  <sheetData>
    <row r="1" spans="1:4" ht="17.25">
      <c r="A1" s="12" t="s">
        <v>13</v>
      </c>
      <c r="B1" s="13"/>
      <c r="C1" s="13"/>
      <c r="D1" s="14"/>
    </row>
    <row r="2" spans="1:4" ht="15">
      <c r="A2" s="45" t="s">
        <v>61</v>
      </c>
      <c r="B2" s="15"/>
      <c r="C2" s="15"/>
      <c r="D2" s="16"/>
    </row>
    <row r="3" spans="1:4" ht="15">
      <c r="A3" s="17" t="s">
        <v>87</v>
      </c>
      <c r="B3" s="15"/>
      <c r="C3" s="15"/>
      <c r="D3" s="16"/>
    </row>
    <row r="4" spans="1:4" ht="15">
      <c r="A4" s="18" t="s">
        <v>82</v>
      </c>
      <c r="B4" s="19"/>
      <c r="C4" s="19"/>
      <c r="D4" s="20"/>
    </row>
    <row r="5" spans="1:7" ht="15">
      <c r="A5" s="22"/>
      <c r="B5" s="15"/>
      <c r="C5" s="15"/>
      <c r="G5" s="43"/>
    </row>
    <row r="6" spans="1:7" ht="15">
      <c r="A6" s="23" t="s">
        <v>97</v>
      </c>
      <c r="C6" s="24"/>
      <c r="D6" s="24"/>
      <c r="G6" s="43"/>
    </row>
    <row r="7" spans="1:16" ht="12.75">
      <c r="A7" s="10" t="s">
        <v>101</v>
      </c>
      <c r="D7" s="1">
        <v>200</v>
      </c>
      <c r="J7" s="46"/>
      <c r="L7" s="7"/>
      <c r="M7" s="7"/>
      <c r="N7" s="7"/>
      <c r="O7" s="7"/>
      <c r="P7" s="7"/>
    </row>
    <row r="8" spans="1:16" ht="12.75">
      <c r="A8" s="10" t="s">
        <v>28</v>
      </c>
      <c r="C8" s="26"/>
      <c r="D8" s="48">
        <v>0.35</v>
      </c>
      <c r="E8" s="49"/>
      <c r="F8" s="15"/>
      <c r="G8" s="15"/>
      <c r="H8" s="15"/>
      <c r="I8" s="15"/>
      <c r="J8" s="55"/>
      <c r="L8" s="7"/>
      <c r="M8" s="83"/>
      <c r="N8" s="7"/>
      <c r="O8" s="7"/>
      <c r="P8" s="7"/>
    </row>
    <row r="9" spans="3:16" ht="12.75">
      <c r="C9" s="47" t="s">
        <v>98</v>
      </c>
      <c r="D9" s="50" t="s">
        <v>99</v>
      </c>
      <c r="E9" s="51" t="s">
        <v>100</v>
      </c>
      <c r="F9" s="15"/>
      <c r="G9" s="15"/>
      <c r="H9" s="15"/>
      <c r="I9" s="15"/>
      <c r="J9" s="55"/>
      <c r="L9" s="7"/>
      <c r="M9" s="83"/>
      <c r="N9" s="7"/>
      <c r="O9" s="7"/>
      <c r="P9" s="7"/>
    </row>
    <row r="10" spans="1:16" ht="12.75">
      <c r="A10" s="10" t="s">
        <v>96</v>
      </c>
      <c r="C10" s="58">
        <f>E139</f>
        <v>29.29141781656914</v>
      </c>
      <c r="D10" s="52"/>
      <c r="E10" s="59">
        <f>IF(D10="",C10,D10)</f>
        <v>29.29141781656914</v>
      </c>
      <c r="F10" s="15"/>
      <c r="G10" s="15"/>
      <c r="H10" s="15"/>
      <c r="I10" s="15"/>
      <c r="J10" s="56"/>
      <c r="L10" s="7"/>
      <c r="M10" s="7"/>
      <c r="N10" s="7"/>
      <c r="O10" s="7"/>
      <c r="P10" s="7"/>
    </row>
    <row r="11" spans="3:16" ht="12.75">
      <c r="C11" s="27"/>
      <c r="D11" s="53"/>
      <c r="E11" s="57"/>
      <c r="F11" s="15"/>
      <c r="G11" s="15"/>
      <c r="H11" s="15"/>
      <c r="I11" s="15"/>
      <c r="J11" s="54"/>
      <c r="L11" s="7"/>
      <c r="M11" s="7"/>
      <c r="N11" s="7"/>
      <c r="O11" s="7"/>
      <c r="P11" s="7"/>
    </row>
    <row r="12" spans="1:16" ht="13.5">
      <c r="A12" s="23" t="s">
        <v>23</v>
      </c>
      <c r="B12" s="28"/>
      <c r="C12" s="28"/>
      <c r="D12" s="29" t="s">
        <v>2</v>
      </c>
      <c r="E12" s="29" t="s">
        <v>1</v>
      </c>
      <c r="J12" s="27"/>
      <c r="L12" s="7"/>
      <c r="M12" s="7"/>
      <c r="N12" s="7"/>
      <c r="O12" s="7"/>
      <c r="P12" s="7"/>
    </row>
    <row r="13" spans="1:16" ht="12.75">
      <c r="A13" s="10" t="s">
        <v>27</v>
      </c>
      <c r="D13" s="3">
        <v>3.15</v>
      </c>
      <c r="E13" s="3">
        <v>3.45</v>
      </c>
      <c r="L13" s="7"/>
      <c r="M13" s="7"/>
      <c r="N13" s="7"/>
      <c r="O13" s="7"/>
      <c r="P13" s="7"/>
    </row>
    <row r="14" spans="1:16" ht="12.75">
      <c r="A14" s="10" t="s">
        <v>95</v>
      </c>
      <c r="D14" s="8"/>
      <c r="E14" s="6">
        <v>100</v>
      </c>
      <c r="L14" s="7"/>
      <c r="M14" s="7"/>
      <c r="N14" s="7"/>
      <c r="O14" s="11"/>
      <c r="P14" s="7"/>
    </row>
    <row r="15" spans="1:16" ht="12.75">
      <c r="A15" s="10" t="s">
        <v>46</v>
      </c>
      <c r="D15" s="8"/>
      <c r="E15" s="9">
        <f>D7*0.09</f>
        <v>18</v>
      </c>
      <c r="J15" s="44"/>
      <c r="L15" s="7"/>
      <c r="M15" s="7"/>
      <c r="N15" s="7"/>
      <c r="O15" s="11"/>
      <c r="P15" s="7"/>
    </row>
    <row r="16" spans="1:5" ht="12.75">
      <c r="A16" s="10" t="s">
        <v>4</v>
      </c>
      <c r="D16" s="30">
        <f>D7*D13</f>
        <v>630</v>
      </c>
      <c r="E16" s="30">
        <f>((D7-E15)*E13)+E14*(((E10*D8*0.9)/2))</f>
        <v>1089.239830610964</v>
      </c>
    </row>
    <row r="17" spans="1:5" ht="12.75">
      <c r="A17" s="10" t="s">
        <v>123</v>
      </c>
      <c r="D17" s="30"/>
      <c r="E17" s="30">
        <f>E16/E10</f>
        <v>37.186312981914405</v>
      </c>
    </row>
    <row r="18" spans="1:5" ht="12.75">
      <c r="A18" s="10" t="s">
        <v>124</v>
      </c>
      <c r="D18" s="30"/>
      <c r="E18" s="30">
        <f>E17/D8</f>
        <v>106.24660851975545</v>
      </c>
    </row>
    <row r="19" ht="13.5">
      <c r="A19" s="23" t="s">
        <v>68</v>
      </c>
    </row>
    <row r="20" spans="1:4" ht="12.75">
      <c r="A20" s="10" t="s">
        <v>6</v>
      </c>
      <c r="D20" s="3">
        <v>35</v>
      </c>
    </row>
    <row r="21" spans="1:4" ht="12.75">
      <c r="A21" s="10" t="s">
        <v>79</v>
      </c>
      <c r="D21" s="8">
        <f>B22*D7</f>
        <v>32</v>
      </c>
    </row>
    <row r="22" spans="1:2" ht="12.75">
      <c r="A22" s="10" t="s">
        <v>5</v>
      </c>
      <c r="B22" s="3">
        <v>0.16</v>
      </c>
    </row>
    <row r="23" spans="1:4" ht="12.75">
      <c r="A23" s="10" t="s">
        <v>80</v>
      </c>
      <c r="D23" s="8">
        <f>B24*D7</f>
        <v>30</v>
      </c>
    </row>
    <row r="24" spans="1:2" ht="12.75">
      <c r="A24" s="10" t="s">
        <v>5</v>
      </c>
      <c r="B24" s="3">
        <v>0.15</v>
      </c>
    </row>
    <row r="25" spans="1:4" ht="12.75">
      <c r="A25" s="10" t="s">
        <v>81</v>
      </c>
      <c r="D25" s="8">
        <f>B26*D7*B27</f>
        <v>36</v>
      </c>
    </row>
    <row r="26" spans="1:2" ht="12.75">
      <c r="A26" s="10" t="s">
        <v>8</v>
      </c>
      <c r="B26" s="3">
        <v>0.03</v>
      </c>
    </row>
    <row r="27" spans="1:2" ht="12.75">
      <c r="A27" s="10" t="s">
        <v>7</v>
      </c>
      <c r="B27" s="1">
        <v>6</v>
      </c>
    </row>
    <row r="28" spans="1:4" ht="12.75">
      <c r="A28" s="10" t="s">
        <v>47</v>
      </c>
      <c r="D28" s="8">
        <f>B29*D16</f>
        <v>12.6</v>
      </c>
    </row>
    <row r="29" spans="1:2" ht="12.75">
      <c r="A29" s="10" t="s">
        <v>9</v>
      </c>
      <c r="B29" s="4">
        <v>0.02</v>
      </c>
    </row>
    <row r="30" spans="1:4" ht="12.75">
      <c r="A30" s="10" t="s">
        <v>10</v>
      </c>
      <c r="D30" s="8">
        <f>D20+D21+D23+D25+D28</f>
        <v>145.6</v>
      </c>
    </row>
    <row r="31" spans="1:4" ht="12.75">
      <c r="A31" s="10" t="s">
        <v>117</v>
      </c>
      <c r="D31" s="8">
        <f>D16-D30</f>
        <v>484.4</v>
      </c>
    </row>
    <row r="32" spans="1:7" ht="12.75">
      <c r="A32" s="10" t="s">
        <v>108</v>
      </c>
      <c r="D32" s="8"/>
      <c r="G32" s="21"/>
    </row>
    <row r="33" spans="1:9" ht="12.75">
      <c r="A33" s="10" t="s">
        <v>118</v>
      </c>
      <c r="D33" s="8">
        <f>D31/E10</f>
        <v>16.537267094185918</v>
      </c>
      <c r="G33" s="84"/>
      <c r="H33" s="84"/>
      <c r="I33" s="84"/>
    </row>
    <row r="34" spans="4:9" ht="12.75">
      <c r="D34" s="8"/>
      <c r="G34" s="84"/>
      <c r="H34" s="84"/>
      <c r="I34" s="84"/>
    </row>
    <row r="35" ht="13.5">
      <c r="A35" s="23" t="s">
        <v>48</v>
      </c>
    </row>
    <row r="36" spans="1:5" ht="12.75">
      <c r="A36" s="10" t="s">
        <v>29</v>
      </c>
      <c r="E36" s="3">
        <v>60</v>
      </c>
    </row>
    <row r="37" spans="1:5" ht="12.75">
      <c r="A37" s="10" t="s">
        <v>30</v>
      </c>
      <c r="E37" s="3">
        <v>15</v>
      </c>
    </row>
    <row r="38" spans="1:5" ht="12.75">
      <c r="A38" s="86" t="s">
        <v>102</v>
      </c>
      <c r="B38" s="36" t="s">
        <v>103</v>
      </c>
      <c r="E38" s="8">
        <f>(E16*C39)</f>
        <v>108.92398306109641</v>
      </c>
    </row>
    <row r="39" spans="1:5" ht="18.75" customHeight="1">
      <c r="A39" s="80">
        <f>(IF(A169=1,C101,IF(A169=2,C102,IF(A169=3,C103,IF(A169=4,C104,C105)))))/100</f>
        <v>0.06</v>
      </c>
      <c r="B39" s="2">
        <v>0.1</v>
      </c>
      <c r="C39" s="26">
        <f>IF(B39="",A39,B39)</f>
        <v>0.1</v>
      </c>
      <c r="E39" s="8"/>
    </row>
    <row r="40" spans="1:6" ht="12.75">
      <c r="A40" s="86" t="s">
        <v>109</v>
      </c>
      <c r="E40" s="8">
        <f>E36+E37+E38</f>
        <v>183.9239830610964</v>
      </c>
      <c r="F40" s="8"/>
    </row>
    <row r="41" spans="1:6" ht="12.75">
      <c r="A41" s="86"/>
      <c r="E41" s="8"/>
      <c r="F41" s="8"/>
    </row>
    <row r="42" ht="13.5">
      <c r="A42" s="23" t="s">
        <v>0</v>
      </c>
    </row>
    <row r="43" spans="1:4" ht="12.75">
      <c r="A43" s="10" t="s">
        <v>24</v>
      </c>
      <c r="D43" s="8">
        <f>B44*B45*B46</f>
        <v>9.613999999999999</v>
      </c>
    </row>
    <row r="44" spans="1:7" ht="12.75">
      <c r="A44" s="10" t="s">
        <v>11</v>
      </c>
      <c r="B44" s="10">
        <v>4.6</v>
      </c>
      <c r="G44" s="21" t="s">
        <v>41</v>
      </c>
    </row>
    <row r="45" spans="1:8" ht="12.75">
      <c r="A45" s="10" t="s">
        <v>49</v>
      </c>
      <c r="B45" s="1">
        <v>4.75</v>
      </c>
      <c r="G45" s="27">
        <f>((D7*56)*0.845)/2000</f>
        <v>4.732</v>
      </c>
      <c r="H45" s="10" t="s">
        <v>40</v>
      </c>
    </row>
    <row r="46" spans="1:2" ht="12.75">
      <c r="A46" s="10" t="s">
        <v>94</v>
      </c>
      <c r="B46" s="3">
        <v>0.44</v>
      </c>
    </row>
    <row r="47" spans="1:4" ht="12.75">
      <c r="A47" s="10" t="s">
        <v>25</v>
      </c>
      <c r="D47" s="8">
        <f>B48*B49*B50</f>
        <v>37.152</v>
      </c>
    </row>
    <row r="48" spans="1:2" ht="12.75">
      <c r="A48" s="10" t="s">
        <v>12</v>
      </c>
      <c r="B48" s="10">
        <v>32</v>
      </c>
    </row>
    <row r="49" spans="1:2" ht="12.75">
      <c r="A49" s="10" t="s">
        <v>49</v>
      </c>
      <c r="B49" s="1">
        <v>2.7</v>
      </c>
    </row>
    <row r="50" spans="1:2" ht="12.75">
      <c r="A50" s="10" t="s">
        <v>93</v>
      </c>
      <c r="B50" s="3">
        <v>0.43</v>
      </c>
    </row>
    <row r="51" spans="1:4" ht="12.75">
      <c r="A51" s="10" t="s">
        <v>31</v>
      </c>
      <c r="B51" s="8"/>
      <c r="D51" s="8">
        <f>D47+D43</f>
        <v>46.766</v>
      </c>
    </row>
    <row r="52" spans="1:4" ht="12.75">
      <c r="A52" s="10" t="s">
        <v>115</v>
      </c>
      <c r="D52" s="8">
        <f>D31+D47+D43</f>
        <v>531.166</v>
      </c>
    </row>
    <row r="53" ht="12.75">
      <c r="A53" s="10" t="s">
        <v>111</v>
      </c>
    </row>
    <row r="54" spans="1:4" ht="12.75">
      <c r="A54" s="10" t="s">
        <v>116</v>
      </c>
      <c r="D54" s="82">
        <f>D52/E10</f>
        <v>18.133843958196447</v>
      </c>
    </row>
    <row r="55" ht="12.75">
      <c r="A55" s="10" t="s">
        <v>110</v>
      </c>
    </row>
    <row r="56" spans="1:5" ht="12.75">
      <c r="A56" s="10" t="s">
        <v>119</v>
      </c>
      <c r="D56" s="82">
        <f>IF(A194=1,B56,"")</f>
      </c>
      <c r="E56" s="8">
        <f>E16-E40</f>
        <v>905.3158475498676</v>
      </c>
    </row>
    <row r="57" spans="1:5" ht="12.75">
      <c r="A57" s="31" t="s">
        <v>104</v>
      </c>
      <c r="B57" s="31"/>
      <c r="C57" s="31"/>
      <c r="D57" s="32">
        <f>D52/E10</f>
        <v>18.133843958196447</v>
      </c>
      <c r="E57" s="32">
        <f>E56/E10</f>
        <v>30.907204738917137</v>
      </c>
    </row>
    <row r="58" spans="1:5" ht="12.75">
      <c r="A58" s="31" t="s">
        <v>105</v>
      </c>
      <c r="B58" s="31"/>
      <c r="C58" s="31"/>
      <c r="D58" s="32">
        <f>D57/D8</f>
        <v>51.81098273770414</v>
      </c>
      <c r="E58" s="32">
        <f>E57/D8</f>
        <v>88.30629925404897</v>
      </c>
    </row>
    <row r="60" spans="1:7" ht="13.5">
      <c r="A60" s="23" t="s">
        <v>83</v>
      </c>
      <c r="G60" s="87"/>
    </row>
    <row r="61" spans="1:7" ht="12.75">
      <c r="A61" s="10" t="s">
        <v>42</v>
      </c>
      <c r="D61" s="8">
        <f>((D62-29)*0.5*D13)</f>
        <v>0</v>
      </c>
      <c r="E61" s="8">
        <f>((E62-29)*0.5*E13)</f>
        <v>0</v>
      </c>
      <c r="G61" s="21"/>
    </row>
    <row r="62" spans="1:7" ht="12.75">
      <c r="A62" s="10" t="s">
        <v>20</v>
      </c>
      <c r="D62" s="5">
        <v>29</v>
      </c>
      <c r="E62" s="5">
        <v>29</v>
      </c>
      <c r="G62" s="21"/>
    </row>
    <row r="63" spans="1:7" ht="12.75">
      <c r="A63" s="10" t="s">
        <v>21</v>
      </c>
      <c r="D63" s="8">
        <f>D13</f>
        <v>3.15</v>
      </c>
      <c r="E63" s="8">
        <f>E13</f>
        <v>3.45</v>
      </c>
      <c r="G63" s="21"/>
    </row>
    <row r="64" spans="1:7" ht="12.75">
      <c r="A64" s="10" t="s">
        <v>88</v>
      </c>
      <c r="D64" s="8">
        <f>D65*0.6*D66</f>
        <v>6.959999999999999</v>
      </c>
      <c r="E64" s="8">
        <f>E65*0.6*E66</f>
        <v>6.959999999999999</v>
      </c>
      <c r="G64" s="21"/>
    </row>
    <row r="65" spans="1:5" ht="12.75">
      <c r="A65" s="10" t="s">
        <v>39</v>
      </c>
      <c r="D65" s="2">
        <v>0.58</v>
      </c>
      <c r="E65" s="2">
        <v>0.58</v>
      </c>
    </row>
    <row r="66" spans="1:5" ht="12.75">
      <c r="A66" s="10" t="s">
        <v>22</v>
      </c>
      <c r="D66" s="3">
        <v>20</v>
      </c>
      <c r="E66" s="3">
        <v>20</v>
      </c>
    </row>
    <row r="67" spans="1:5" ht="12.75">
      <c r="A67" s="10" t="s">
        <v>26</v>
      </c>
      <c r="D67" s="8">
        <f>D61+D64</f>
        <v>6.959999999999999</v>
      </c>
      <c r="E67" s="8">
        <f>E64+E61</f>
        <v>6.959999999999999</v>
      </c>
    </row>
    <row r="68" spans="1:5" ht="12.75">
      <c r="A68" s="10" t="s">
        <v>3</v>
      </c>
      <c r="D68" s="8">
        <f>D58</f>
        <v>51.81098273770414</v>
      </c>
      <c r="E68" s="8">
        <f>E58</f>
        <v>88.30629925404897</v>
      </c>
    </row>
    <row r="69" spans="1:5" ht="12.75">
      <c r="A69" s="88" t="s">
        <v>106</v>
      </c>
      <c r="B69" s="88"/>
      <c r="C69" s="88"/>
      <c r="D69" s="89">
        <f>D70*D8</f>
        <v>20.569843958196447</v>
      </c>
      <c r="E69" s="89">
        <f>E70*D8</f>
        <v>33.34320473891714</v>
      </c>
    </row>
    <row r="70" spans="1:5" ht="12.75">
      <c r="A70" s="88" t="s">
        <v>107</v>
      </c>
      <c r="B70" s="88"/>
      <c r="C70" s="88"/>
      <c r="D70" s="89">
        <f>D68+D67</f>
        <v>58.77098273770414</v>
      </c>
      <c r="E70" s="89">
        <f>E68+E67</f>
        <v>95.26629925404896</v>
      </c>
    </row>
    <row r="71" spans="1:5" ht="12.75">
      <c r="A71" s="33"/>
      <c r="B71" s="33"/>
      <c r="C71" s="33"/>
      <c r="D71" s="34"/>
      <c r="E71" s="34"/>
    </row>
    <row r="72" spans="1:5" ht="13.5">
      <c r="A72" s="23" t="s">
        <v>128</v>
      </c>
      <c r="B72" s="33"/>
      <c r="C72" s="33"/>
      <c r="D72" s="34"/>
      <c r="E72" s="34"/>
    </row>
    <row r="73" spans="1:5" ht="13.5">
      <c r="A73" s="23" t="s">
        <v>129</v>
      </c>
      <c r="B73" s="33"/>
      <c r="C73" s="33"/>
      <c r="D73" s="34"/>
      <c r="E73" s="34"/>
    </row>
    <row r="74" spans="1:5" ht="12.75">
      <c r="A74" s="39" t="s">
        <v>121</v>
      </c>
      <c r="B74" s="33"/>
      <c r="C74" s="33"/>
      <c r="D74" s="34"/>
      <c r="E74" s="34"/>
    </row>
    <row r="75" spans="1:5" ht="17.25" customHeight="1">
      <c r="A75" s="93" t="s">
        <v>120</v>
      </c>
      <c r="B75" s="95"/>
      <c r="C75" s="96"/>
      <c r="D75" s="97"/>
      <c r="E75" s="98"/>
    </row>
    <row r="76" spans="1:5" ht="12.75">
      <c r="A76" s="10" t="s">
        <v>29</v>
      </c>
      <c r="B76" s="33"/>
      <c r="C76" s="33"/>
      <c r="D76" s="82">
        <f>IF(B170=0,E36,"")</f>
      </c>
      <c r="E76" s="82">
        <f>IF(B170=1,E36,"")</f>
        <v>60</v>
      </c>
    </row>
    <row r="77" spans="1:5" ht="12.75">
      <c r="A77" s="10" t="s">
        <v>30</v>
      </c>
      <c r="B77" s="33"/>
      <c r="C77" s="33"/>
      <c r="D77" s="82">
        <f>IF(B171=0,E37,"")</f>
      </c>
      <c r="E77" s="94">
        <f>IF(B171=1,E37,"")</f>
        <v>15</v>
      </c>
    </row>
    <row r="78" spans="1:5" ht="12.75">
      <c r="A78" s="86" t="s">
        <v>122</v>
      </c>
      <c r="B78" s="21"/>
      <c r="C78" s="33"/>
      <c r="D78" s="8">
        <f>IF(B172=0,(E16*C39),"")</f>
        <v>108.92398306109641</v>
      </c>
      <c r="E78" s="8">
        <f>IF(B172=1,(E16*C39),"")</f>
      </c>
    </row>
    <row r="79" spans="1:5" ht="12.75">
      <c r="A79" s="86" t="s">
        <v>109</v>
      </c>
      <c r="B79" s="33"/>
      <c r="C79" s="33"/>
      <c r="D79" s="99">
        <f>SUM(D76:D78)</f>
        <v>108.92398306109641</v>
      </c>
      <c r="E79" s="99">
        <f>SUM(E76:E78)</f>
        <v>75</v>
      </c>
    </row>
    <row r="80" spans="1:5" ht="12.75">
      <c r="A80" s="39" t="s">
        <v>127</v>
      </c>
      <c r="B80" s="39"/>
      <c r="C80" s="39"/>
      <c r="D80" s="100">
        <f>D79/(D8*E10)</f>
        <v>10.624660851975547</v>
      </c>
      <c r="E80" s="100">
        <f>E79/(D8*E10)</f>
        <v>7.315648413730942</v>
      </c>
    </row>
    <row r="81" spans="1:5" ht="12.75">
      <c r="A81" s="33" t="s">
        <v>125</v>
      </c>
      <c r="B81" s="33"/>
      <c r="C81" s="33"/>
      <c r="D81" s="34">
        <f>D82*D8</f>
        <v>24.288475256387887</v>
      </c>
      <c r="E81" s="34">
        <f>E82*D8</f>
        <v>37.06183603710858</v>
      </c>
    </row>
    <row r="82" spans="1:5" ht="12.75">
      <c r="A82" s="33" t="s">
        <v>126</v>
      </c>
      <c r="B82" s="33"/>
      <c r="C82" s="33"/>
      <c r="D82" s="34">
        <f>D70+D80</f>
        <v>69.39564358967968</v>
      </c>
      <c r="E82" s="34">
        <f>E18+E67-E80</f>
        <v>105.89096010602451</v>
      </c>
    </row>
    <row r="83" spans="1:5" ht="12.75">
      <c r="A83" s="33"/>
      <c r="B83" s="33"/>
      <c r="C83" s="33"/>
      <c r="D83" s="34"/>
      <c r="E83" s="34"/>
    </row>
    <row r="84" spans="1:5" ht="12.75">
      <c r="A84" s="33"/>
      <c r="B84" s="33"/>
      <c r="C84" s="33"/>
      <c r="D84" s="34"/>
      <c r="E84" s="34"/>
    </row>
    <row r="85" spans="1:5" ht="12.75">
      <c r="A85" s="33"/>
      <c r="B85" s="33"/>
      <c r="C85" s="33"/>
      <c r="D85" s="34"/>
      <c r="E85" s="34"/>
    </row>
    <row r="86" spans="1:5" ht="12.75">
      <c r="A86" s="33"/>
      <c r="B86" s="33"/>
      <c r="C86" s="33"/>
      <c r="D86" s="34"/>
      <c r="E86" s="34"/>
    </row>
    <row r="87" spans="1:5" ht="17.25">
      <c r="A87" s="35" t="s">
        <v>86</v>
      </c>
      <c r="B87" s="33"/>
      <c r="C87" s="33"/>
      <c r="D87" s="34"/>
      <c r="E87" s="34"/>
    </row>
    <row r="88" spans="1:5" ht="12.75">
      <c r="A88" s="25" t="s">
        <v>89</v>
      </c>
      <c r="B88" s="33"/>
      <c r="C88" s="33"/>
      <c r="D88" s="34"/>
      <c r="E88" s="34"/>
    </row>
    <row r="89" spans="1:5" ht="12.75">
      <c r="A89" s="36" t="s">
        <v>67</v>
      </c>
      <c r="B89" s="33"/>
      <c r="C89" s="33"/>
      <c r="D89" s="34"/>
      <c r="E89" s="34"/>
    </row>
    <row r="90" spans="1:5" ht="12.75">
      <c r="A90" s="25" t="s">
        <v>66</v>
      </c>
      <c r="B90" s="33"/>
      <c r="C90" s="33"/>
      <c r="D90" s="34"/>
      <c r="E90" s="34"/>
    </row>
    <row r="91" spans="1:5" ht="12.75">
      <c r="A91" s="25" t="s">
        <v>69</v>
      </c>
      <c r="D91" s="34"/>
      <c r="E91" s="34"/>
    </row>
    <row r="92" spans="1:5" ht="12.75">
      <c r="A92" s="36" t="s">
        <v>92</v>
      </c>
      <c r="D92" s="34"/>
      <c r="E92" s="34"/>
    </row>
    <row r="93" spans="1:5" ht="12.75">
      <c r="A93" s="84" t="s">
        <v>74</v>
      </c>
      <c r="B93" s="84"/>
      <c r="C93" s="84" t="s">
        <v>73</v>
      </c>
      <c r="D93" s="34"/>
      <c r="E93" s="34"/>
    </row>
    <row r="94" spans="1:5" ht="12.75">
      <c r="A94" s="10" t="s">
        <v>70</v>
      </c>
      <c r="C94" s="10" t="s">
        <v>75</v>
      </c>
      <c r="D94" s="34"/>
      <c r="E94" s="34"/>
    </row>
    <row r="95" spans="1:5" ht="12.75">
      <c r="A95" s="10" t="s">
        <v>71</v>
      </c>
      <c r="C95" s="10" t="s">
        <v>76</v>
      </c>
      <c r="D95" s="34"/>
      <c r="E95" s="34"/>
    </row>
    <row r="96" spans="1:5" ht="12.75">
      <c r="A96" s="10" t="s">
        <v>72</v>
      </c>
      <c r="C96" s="10" t="s">
        <v>77</v>
      </c>
      <c r="D96" s="34"/>
      <c r="E96" s="34"/>
    </row>
    <row r="97" spans="1:5" ht="12.75">
      <c r="A97" s="25" t="s">
        <v>78</v>
      </c>
      <c r="D97" s="34"/>
      <c r="E97" s="34"/>
    </row>
    <row r="98" spans="1:5" ht="12.75">
      <c r="A98" s="25" t="s">
        <v>91</v>
      </c>
      <c r="D98" s="34"/>
      <c r="E98" s="34"/>
    </row>
    <row r="99" spans="1:5" ht="12.75">
      <c r="A99" s="25" t="s">
        <v>90</v>
      </c>
      <c r="D99" s="34"/>
      <c r="E99" s="34"/>
    </row>
    <row r="100" spans="1:5" ht="12.75">
      <c r="A100" s="84" t="s">
        <v>33</v>
      </c>
      <c r="B100" s="84"/>
      <c r="C100" s="84" t="s">
        <v>34</v>
      </c>
      <c r="D100" s="34"/>
      <c r="E100" s="34"/>
    </row>
    <row r="101" spans="1:5" ht="12.75">
      <c r="A101" s="86" t="s">
        <v>32</v>
      </c>
      <c r="B101" s="86"/>
      <c r="C101" s="86">
        <v>13</v>
      </c>
      <c r="D101" s="34"/>
      <c r="E101" s="34"/>
    </row>
    <row r="102" spans="1:5" ht="12.75">
      <c r="A102" s="86" t="s">
        <v>35</v>
      </c>
      <c r="B102" s="86"/>
      <c r="C102" s="86">
        <v>6</v>
      </c>
      <c r="D102" s="34"/>
      <c r="E102" s="34"/>
    </row>
    <row r="103" spans="1:5" ht="12.75">
      <c r="A103" s="86" t="s">
        <v>36</v>
      </c>
      <c r="B103" s="86"/>
      <c r="C103" s="86">
        <v>16</v>
      </c>
      <c r="D103" s="34"/>
      <c r="E103" s="34"/>
    </row>
    <row r="104" spans="1:5" ht="12.75">
      <c r="A104" s="86" t="s">
        <v>37</v>
      </c>
      <c r="B104" s="86"/>
      <c r="C104" s="86">
        <v>17.5</v>
      </c>
      <c r="D104" s="34"/>
      <c r="E104" s="34"/>
    </row>
    <row r="105" spans="1:5" ht="12.75">
      <c r="A105" s="86" t="s">
        <v>38</v>
      </c>
      <c r="B105" s="86"/>
      <c r="C105" s="86">
        <v>11</v>
      </c>
      <c r="D105" s="34"/>
      <c r="E105" s="34"/>
    </row>
    <row r="106" spans="1:5" ht="12.75">
      <c r="A106" s="25" t="s">
        <v>84</v>
      </c>
      <c r="D106" s="34"/>
      <c r="E106" s="34"/>
    </row>
    <row r="107" spans="1:5" ht="12.75">
      <c r="A107" s="21" t="s">
        <v>43</v>
      </c>
      <c r="D107" s="34"/>
      <c r="E107" s="34"/>
    </row>
    <row r="108" spans="1:5" ht="12.75">
      <c r="A108" s="21" t="s">
        <v>45</v>
      </c>
      <c r="D108" s="34"/>
      <c r="E108" s="34"/>
    </row>
    <row r="109" spans="1:5" ht="12.75">
      <c r="A109" s="21" t="s">
        <v>44</v>
      </c>
      <c r="D109" s="34"/>
      <c r="E109" s="34"/>
    </row>
    <row r="110" spans="1:5" ht="12.75">
      <c r="A110" s="40"/>
      <c r="D110" s="34"/>
      <c r="E110" s="34"/>
    </row>
    <row r="111" spans="1:7" ht="12.75">
      <c r="A111" s="40"/>
      <c r="B111" s="41"/>
      <c r="C111" s="41"/>
      <c r="D111" s="42"/>
      <c r="E111" s="42"/>
      <c r="F111" s="41"/>
      <c r="G111" s="41"/>
    </row>
    <row r="112" spans="1:7" ht="12.75">
      <c r="A112" s="40"/>
      <c r="B112" s="41"/>
      <c r="C112" s="41"/>
      <c r="D112" s="42"/>
      <c r="E112" s="42"/>
      <c r="F112" s="41"/>
      <c r="G112" s="41"/>
    </row>
    <row r="113" spans="1:5" ht="12.75">
      <c r="A113" s="40"/>
      <c r="D113" s="34"/>
      <c r="E113" s="34"/>
    </row>
    <row r="114" ht="12.75">
      <c r="A114" s="37"/>
    </row>
    <row r="115" ht="12.75">
      <c r="A115" s="37"/>
    </row>
    <row r="116" ht="12.75">
      <c r="A116" s="38"/>
    </row>
    <row r="117" ht="12.75">
      <c r="A117" s="85"/>
    </row>
    <row r="118" ht="12.75">
      <c r="A118" s="85"/>
    </row>
    <row r="119" ht="12.75">
      <c r="A119" s="37"/>
    </row>
    <row r="120" ht="12.75">
      <c r="A120" s="85"/>
    </row>
    <row r="121" ht="12.75">
      <c r="A121" s="85"/>
    </row>
    <row r="122" ht="12.75">
      <c r="A122" s="85"/>
    </row>
    <row r="124" ht="12.75">
      <c r="A124" s="85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4" spans="1:5" ht="12.75">
      <c r="A134" s="90">
        <v>25.549</v>
      </c>
      <c r="B134" s="90">
        <f>-66.7+41.7*(A134)-1.53*(A134*A134)</f>
        <v>-0.016343530000085593</v>
      </c>
      <c r="C134" s="90"/>
      <c r="D134" s="90"/>
      <c r="E134" s="90"/>
    </row>
    <row r="135" spans="1:5" ht="12.75">
      <c r="A135" s="90">
        <v>-66.7</v>
      </c>
      <c r="B135" s="91">
        <f>'Pricing Corn Silage'!$D$7</f>
        <v>200</v>
      </c>
      <c r="C135" s="90"/>
      <c r="D135" s="90"/>
      <c r="E135" s="90"/>
    </row>
    <row r="136" spans="1:5" ht="12.75">
      <c r="A136" s="90">
        <f>A135-B135</f>
        <v>-266.7</v>
      </c>
      <c r="B136" s="90" t="s">
        <v>14</v>
      </c>
      <c r="C136" s="90"/>
      <c r="D136" s="90"/>
      <c r="E136" s="90"/>
    </row>
    <row r="137" spans="1:5" ht="12.75">
      <c r="A137" s="90">
        <v>41.7</v>
      </c>
      <c r="B137" s="90" t="s">
        <v>15</v>
      </c>
      <c r="C137" s="90"/>
      <c r="D137" s="90"/>
      <c r="E137" s="90"/>
    </row>
    <row r="138" spans="1:5" ht="12.75">
      <c r="A138" s="90">
        <v>-1.53</v>
      </c>
      <c r="B138" s="90" t="s">
        <v>16</v>
      </c>
      <c r="C138" s="90" t="s">
        <v>17</v>
      </c>
      <c r="D138" s="90" t="s">
        <v>19</v>
      </c>
      <c r="E138" s="90" t="s">
        <v>18</v>
      </c>
    </row>
    <row r="139" spans="1:5" ht="12.75">
      <c r="A139" s="90"/>
      <c r="B139" s="90"/>
      <c r="C139" s="90">
        <f>(-A137+SQRT(POWER(41.7,2)-4*A138*A136))/(2*A138)</f>
        <v>10.251996235799199</v>
      </c>
      <c r="D139" s="92">
        <f>'Pricing Corn Silage'!$D$8</f>
        <v>0.35</v>
      </c>
      <c r="E139" s="90">
        <f>C139/D139</f>
        <v>29.29141781656914</v>
      </c>
    </row>
    <row r="150" ht="12.75">
      <c r="A150" s="10" t="b">
        <v>1</v>
      </c>
    </row>
    <row r="151" ht="12.75">
      <c r="A151" s="10" t="b">
        <v>1</v>
      </c>
    </row>
    <row r="152" ht="12.75">
      <c r="A152" s="10" t="b">
        <v>1</v>
      </c>
    </row>
    <row r="168" spans="1:2" ht="12.75">
      <c r="A168" s="86"/>
      <c r="B168" s="86"/>
    </row>
    <row r="169" spans="1:2" ht="12.75">
      <c r="A169" s="86">
        <v>2</v>
      </c>
      <c r="B169" s="86"/>
    </row>
    <row r="170" spans="1:2" ht="12.75">
      <c r="A170" s="86" t="b">
        <v>1</v>
      </c>
      <c r="B170" s="86">
        <f>1*A170</f>
        <v>1</v>
      </c>
    </row>
    <row r="171" spans="1:2" ht="12.75">
      <c r="A171" s="86" t="b">
        <v>1</v>
      </c>
      <c r="B171" s="86">
        <f>1*A171</f>
        <v>1</v>
      </c>
    </row>
    <row r="172" spans="1:2" ht="12.75">
      <c r="A172" s="86" t="b">
        <v>0</v>
      </c>
      <c r="B172" s="86">
        <f>1*A172</f>
        <v>0</v>
      </c>
    </row>
    <row r="173" spans="1:2" ht="12.75">
      <c r="A173" s="86"/>
      <c r="B173" s="86"/>
    </row>
  </sheetData>
  <sheetProtection password="861A" sheet="1" objects="1" scenarios="1"/>
  <printOptions/>
  <pageMargins left="0.25" right="0" top="0.25" bottom="0.25" header="0.3" footer="0.3"/>
  <pageSetup fitToHeight="1" fitToWidth="1" horizontalDpi="600" verticalDpi="600" orientation="portrait" scale="7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scc</dc:creator>
  <cp:keywords/>
  <dc:description/>
  <cp:lastModifiedBy>mark</cp:lastModifiedBy>
  <cp:lastPrinted>2013-09-03T19:16:12Z</cp:lastPrinted>
  <dcterms:created xsi:type="dcterms:W3CDTF">2007-08-14T00:43:51Z</dcterms:created>
  <dcterms:modified xsi:type="dcterms:W3CDTF">2014-09-15T22:40:07Z</dcterms:modified>
  <cp:category/>
  <cp:version/>
  <cp:contentType/>
  <cp:contentStatus/>
</cp:coreProperties>
</file>